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nsmortensen/FOOV/"/>
    </mc:Choice>
  </mc:AlternateContent>
  <bookViews>
    <workbookView xWindow="0" yWindow="460" windowWidth="25600" windowHeight="15460" tabRatio="500"/>
  </bookViews>
  <sheets>
    <sheet name="kona økonomi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A3" i="1"/>
  <c r="R22" i="1"/>
  <c r="T22" i="1"/>
  <c r="V22" i="1"/>
  <c r="D61" i="1"/>
  <c r="J60" i="1"/>
  <c r="D60" i="1"/>
  <c r="Q26" i="1"/>
  <c r="D59" i="1"/>
  <c r="E3" i="1"/>
  <c r="D58" i="1"/>
  <c r="A56" i="1"/>
  <c r="D56" i="1"/>
  <c r="D57" i="1"/>
  <c r="Q25" i="1"/>
  <c r="D55" i="1"/>
  <c r="D54" i="1"/>
  <c r="D53" i="1"/>
  <c r="A52" i="1"/>
  <c r="F58" i="1"/>
  <c r="F59" i="1"/>
  <c r="F60" i="1"/>
  <c r="F61" i="1"/>
  <c r="F62" i="1"/>
  <c r="F63" i="1"/>
  <c r="F64" i="1"/>
  <c r="F65" i="1"/>
  <c r="F66" i="1"/>
  <c r="F67" i="1"/>
  <c r="F68" i="1"/>
  <c r="F69" i="1"/>
  <c r="D52" i="1"/>
  <c r="D51" i="1"/>
  <c r="D50" i="1"/>
  <c r="A26" i="1"/>
  <c r="A43" i="1"/>
  <c r="D49" i="1"/>
  <c r="V21" i="1"/>
  <c r="F57" i="1"/>
  <c r="F56" i="1"/>
  <c r="F55" i="1"/>
  <c r="F54" i="1"/>
  <c r="F53" i="1"/>
  <c r="F52" i="1"/>
  <c r="F51" i="1"/>
  <c r="F50" i="1"/>
  <c r="F49" i="1"/>
  <c r="D48" i="1"/>
  <c r="F48" i="1"/>
  <c r="E47" i="1"/>
  <c r="D47" i="1"/>
  <c r="F47" i="1"/>
  <c r="E46" i="1"/>
  <c r="D46" i="1"/>
  <c r="F46" i="1"/>
  <c r="D45" i="1"/>
  <c r="F45" i="1"/>
  <c r="D44" i="1"/>
  <c r="F44" i="1"/>
  <c r="D43" i="1"/>
  <c r="F43" i="1"/>
  <c r="D42" i="1"/>
  <c r="F42" i="1"/>
  <c r="D41" i="1"/>
  <c r="F41" i="1"/>
  <c r="D40" i="1"/>
  <c r="F40" i="1"/>
  <c r="D39" i="1"/>
  <c r="F39" i="1"/>
  <c r="G38" i="1"/>
  <c r="D38" i="1"/>
  <c r="F38" i="1"/>
  <c r="D37" i="1"/>
  <c r="F37" i="1"/>
  <c r="D36" i="1"/>
  <c r="F36" i="1"/>
  <c r="D35" i="1"/>
  <c r="F35" i="1"/>
  <c r="D34" i="1"/>
  <c r="F34" i="1"/>
  <c r="D33" i="1"/>
  <c r="F33" i="1"/>
  <c r="D32" i="1"/>
  <c r="F32" i="1"/>
  <c r="D31" i="1"/>
  <c r="F31" i="1"/>
  <c r="D30" i="1"/>
  <c r="F30" i="1"/>
  <c r="D29" i="1"/>
  <c r="F29" i="1"/>
  <c r="D28" i="1"/>
  <c r="F28" i="1"/>
  <c r="D27" i="1"/>
  <c r="F27" i="1"/>
  <c r="D26" i="1"/>
  <c r="F26" i="1"/>
  <c r="D25" i="1"/>
  <c r="F25" i="1"/>
  <c r="Q24" i="1"/>
  <c r="D24" i="1"/>
  <c r="F24" i="1"/>
  <c r="Q23" i="1"/>
  <c r="D23" i="1"/>
  <c r="F23" i="1"/>
  <c r="D22" i="1"/>
  <c r="Q22" i="1"/>
  <c r="F22" i="1"/>
  <c r="D10" i="1"/>
  <c r="D11" i="1"/>
  <c r="D12" i="1"/>
  <c r="D13" i="1"/>
  <c r="D14" i="1"/>
  <c r="D15" i="1"/>
  <c r="D16" i="1"/>
  <c r="D17" i="1"/>
  <c r="D18" i="1"/>
  <c r="D19" i="1"/>
  <c r="D20" i="1"/>
  <c r="D21" i="1"/>
  <c r="Q21" i="1"/>
  <c r="F21" i="1"/>
  <c r="V20" i="1"/>
  <c r="D5" i="1"/>
  <c r="D6" i="1"/>
  <c r="D7" i="1"/>
  <c r="D8" i="1"/>
  <c r="D9" i="1"/>
  <c r="Q20" i="1"/>
  <c r="F20" i="1"/>
  <c r="F19" i="1"/>
  <c r="G18" i="1"/>
  <c r="F18" i="1"/>
  <c r="F17" i="1"/>
  <c r="F16" i="1"/>
  <c r="N15" i="1"/>
  <c r="F15" i="1"/>
  <c r="N14" i="1"/>
  <c r="F14" i="1"/>
  <c r="N13" i="1"/>
  <c r="F13" i="1"/>
  <c r="N12" i="1"/>
  <c r="F12" i="1"/>
  <c r="N11" i="1"/>
  <c r="J11" i="1"/>
  <c r="F11" i="1"/>
  <c r="N10" i="1"/>
  <c r="I10" i="1"/>
  <c r="F10" i="1"/>
  <c r="N9" i="1"/>
  <c r="I9" i="1"/>
  <c r="F9" i="1"/>
  <c r="N8" i="1"/>
  <c r="I8" i="1"/>
  <c r="F8" i="1"/>
  <c r="N7" i="1"/>
  <c r="F7" i="1"/>
  <c r="N6" i="1"/>
  <c r="F6" i="1"/>
  <c r="E5" i="1"/>
  <c r="F5" i="1"/>
  <c r="P3" i="1"/>
  <c r="G3" i="1"/>
  <c r="K3" i="1"/>
  <c r="J3" i="1"/>
  <c r="I3" i="1"/>
  <c r="H3" i="1"/>
</calcChain>
</file>

<file path=xl/comments1.xml><?xml version="1.0" encoding="utf-8"?>
<comments xmlns="http://schemas.openxmlformats.org/spreadsheetml/2006/main">
  <authors>
    <author>Microsoft Office-bruger</author>
    <author>Jens Mortensen</author>
  </authors>
  <commentList>
    <comment ref="L1" authorId="0">
      <text>
        <r>
          <rPr>
            <sz val="10"/>
            <color indexed="81"/>
            <rFont val="Calibri"/>
            <family val="2"/>
          </rPr>
          <t>Se faneblad diverse</t>
        </r>
      </text>
    </comment>
    <comment ref="C5" authorId="0">
      <text>
        <r>
          <rPr>
            <b/>
            <sz val="10"/>
            <color indexed="81"/>
            <rFont val="Calibri"/>
            <family val="2"/>
          </rPr>
          <t>Leveret 26-8-2019</t>
        </r>
      </text>
    </comment>
    <comment ref="E5" authorId="0">
      <text>
        <r>
          <rPr>
            <b/>
            <sz val="10"/>
            <color indexed="81"/>
            <rFont val="Calibri"/>
            <family val="2"/>
          </rPr>
          <t>Pris pr. måned 599 =&gt; 
 26-8 - 31/8 100 kr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G8" authorId="0">
      <text>
        <r>
          <rPr>
            <b/>
            <sz val="10"/>
            <color indexed="81"/>
            <rFont val="Calibri"/>
            <family val="2"/>
          </rPr>
          <t>Km tæller 15.824
Uden rens af bremser</t>
        </r>
      </text>
    </comment>
    <comment ref="E10" authorId="0">
      <text>
        <r>
          <rPr>
            <b/>
            <sz val="10"/>
            <color indexed="81"/>
            <rFont val="Calibri"/>
            <family val="2"/>
          </rPr>
          <t>januar 2020 -&gt;   659 kr/måned</t>
        </r>
      </text>
    </comment>
    <comment ref="G11" authorId="0">
      <text>
        <r>
          <rPr>
            <b/>
            <sz val="10"/>
            <color indexed="81"/>
            <rFont val="Calibri"/>
            <family val="2"/>
          </rPr>
          <t>Km tæller 29.520
Rens af bremser 1.000 kr</t>
        </r>
      </text>
    </comment>
    <comment ref="G15" authorId="0">
      <text>
        <r>
          <rPr>
            <b/>
            <sz val="10"/>
            <color indexed="81"/>
            <rFont val="Calibri"/>
            <family val="2"/>
          </rPr>
          <t>45280 km
Uden rens af bremser</t>
        </r>
      </text>
    </comment>
    <comment ref="G16" authorId="0">
      <text>
        <r>
          <rPr>
            <b/>
            <sz val="10"/>
            <color indexed="81"/>
            <rFont val="Calibri"/>
            <family val="2"/>
          </rPr>
          <t>22-7
arbejdet på gearkassen</t>
        </r>
      </text>
    </comment>
    <comment ref="G18" authorId="0">
      <text>
        <r>
          <rPr>
            <b/>
            <sz val="10"/>
            <color indexed="81"/>
            <rFont val="Calibri"/>
            <family val="2"/>
          </rPr>
          <t>54.400 km
alm. service
skiftet bremsevæske
pollenfilter
bremser ikke renset
kølervæske delvist udskiftet - 826 kr</t>
        </r>
      </text>
    </comment>
    <comment ref="G22" authorId="0">
      <text>
        <r>
          <rPr>
            <b/>
            <sz val="10"/>
            <color indexed="81"/>
            <rFont val="Calibri"/>
            <family val="2"/>
          </rPr>
          <t>74.650 km
75.000 km service
bremser ikke renset
SOH 100%</t>
        </r>
      </text>
    </comment>
    <comment ref="G26" authorId="0">
      <text>
        <r>
          <rPr>
            <sz val="10"/>
            <color indexed="81"/>
            <rFont val="Calibri"/>
            <family val="2"/>
          </rPr>
          <t>89939
Pollenfilter skiftet
SOH 100%</t>
        </r>
      </text>
    </comment>
    <comment ref="G29" authorId="0">
      <text>
        <r>
          <rPr>
            <b/>
            <sz val="10"/>
            <color indexed="81"/>
            <rFont val="Calibri"/>
            <family val="2"/>
          </rPr>
          <t xml:space="preserve">104.665 km
SOH 100%
Karosserieftersyn
</t>
        </r>
      </text>
    </comment>
    <comment ref="G32" authorId="1">
      <text>
        <r>
          <rPr>
            <sz val="9"/>
            <color indexed="81"/>
            <rFont val="Calibri"/>
            <family val="2"/>
          </rPr>
          <t xml:space="preserve">120356 km
Bremsevæske
Kølevæsker
Pollenfilter
SOH 98,6%
</t>
        </r>
      </text>
    </comment>
    <comment ref="G35" authorId="0">
      <text>
        <r>
          <rPr>
            <b/>
            <sz val="10"/>
            <color indexed="81"/>
            <rFont val="Calibri"/>
            <family val="2"/>
          </rPr>
          <t xml:space="preserve">133548
Bremser ikke renset
SOH??
</t>
        </r>
      </text>
    </comment>
    <comment ref="G37" authorId="0">
      <text>
        <r>
          <rPr>
            <b/>
            <sz val="10"/>
            <color indexed="81"/>
            <rFont val="Calibri"/>
            <family val="2"/>
          </rPr>
          <t>22-4-2022 nyt batteri
147.000 km
SOH 92,6%</t>
        </r>
      </text>
    </comment>
    <comment ref="G38" authorId="0">
      <text>
        <r>
          <rPr>
            <b/>
            <sz val="10"/>
            <color indexed="81"/>
            <rFont val="Calibri"/>
            <family val="2"/>
          </rPr>
          <t>5-52022
149.507
150.000 km eftersyn
Pollen filter
Kølervæske U.B</t>
        </r>
      </text>
    </comment>
    <comment ref="E39" authorId="0">
      <text>
        <r>
          <rPr>
            <b/>
            <sz val="10"/>
            <color indexed="81"/>
            <rFont val="Calibri"/>
            <family val="2"/>
          </rPr>
          <t>Energitillæg
345 kr fra juni 2022
I alt 1.004 kr pr måned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G40" authorId="0">
      <text>
        <r>
          <rPr>
            <b/>
            <sz val="10"/>
            <color indexed="81"/>
            <rFont val="Calibri"/>
            <family val="2"/>
          </rPr>
          <t>163.440km
Alm sevice 1.011
AC service 1.000
SOH 95,8%</t>
        </r>
      </text>
    </comment>
    <comment ref="E43" authorId="0">
      <text>
        <r>
          <rPr>
            <b/>
            <sz val="10"/>
            <color indexed="81"/>
            <rFont val="Calibri"/>
            <family val="2"/>
          </rPr>
          <t>Pr. 1-10
659 kr
Energitillæg 690 kr
I alt 1.349 kr</t>
        </r>
      </text>
    </comment>
    <comment ref="G43" authorId="1">
      <text>
        <r>
          <rPr>
            <b/>
            <sz val="9"/>
            <color indexed="81"/>
            <rFont val="Calibri"/>
            <family val="2"/>
          </rPr>
          <t>!78.830 km
Bremsevæske skiftet
Pollen filter skiftet
Bagvisker skiftet
SOH 94,2%</t>
        </r>
      </text>
    </comment>
    <comment ref="E46" authorId="0">
      <text>
        <r>
          <rPr>
            <b/>
            <sz val="10"/>
            <color indexed="81"/>
            <rFont val="Calibri"/>
            <family val="2"/>
          </rPr>
          <t xml:space="preserve">Variabelt energitillæg 0,097 kr/kWh
1097 kWh
659 fast abonnement
</t>
        </r>
      </text>
    </comment>
    <comment ref="G46" authorId="0">
      <text>
        <r>
          <rPr>
            <sz val="10"/>
            <color indexed="81"/>
            <rFont val="Calibri"/>
            <family val="2"/>
          </rPr>
          <t xml:space="preserve">194.395 km
SOH 92.5%
Skifte kurvelyspære
</t>
        </r>
      </text>
    </comment>
    <comment ref="E47" authorId="0">
      <text>
        <r>
          <rPr>
            <b/>
            <sz val="10"/>
            <color indexed="81"/>
            <rFont val="Calibri"/>
            <family val="2"/>
          </rPr>
          <t>Variabelt energitillæg 0,128 kr/kWh 831 kWh
659 kr fast abonnement</t>
        </r>
      </text>
    </comment>
    <comment ref="E48" authorId="1">
      <text>
        <r>
          <rPr>
            <b/>
            <sz val="9"/>
            <color indexed="81"/>
            <rFont val="Calibri"/>
            <family val="2"/>
          </rPr>
          <t>Abonnement 659 kr
Variabelt energitillæg  0 kr/kWh
Forbrug  kWh 738 + 471= 1208</t>
        </r>
      </text>
    </comment>
    <comment ref="E49" authorId="0">
      <text>
        <r>
          <rPr>
            <sz val="10"/>
            <color indexed="81"/>
            <rFont val="Calibri"/>
            <family val="2"/>
          </rPr>
          <t>Variabelt energitillæg 0 ,00 kr/kWh</t>
        </r>
      </text>
    </comment>
    <comment ref="G49" authorId="0">
      <text>
        <r>
          <rPr>
            <b/>
            <sz val="10"/>
            <color indexed="81"/>
            <rFont val="Calibri"/>
            <family val="2"/>
          </rPr>
          <t>210442 km
service 1.000 kr
bremsevæske1.000 kr
SOH 92,5%</t>
        </r>
      </text>
    </comment>
    <comment ref="E50" authorId="1">
      <text>
        <r>
          <rPr>
            <b/>
            <sz val="9"/>
            <color indexed="81"/>
            <rFont val="Calibri"/>
            <family val="2"/>
          </rPr>
          <t>Variabelt energitillæg 0,00</t>
        </r>
      </text>
    </comment>
    <comment ref="E51" authorId="0">
      <text>
        <r>
          <rPr>
            <b/>
            <sz val="10"/>
            <color indexed="81"/>
            <rFont val="Calibri"/>
            <family val="2"/>
          </rPr>
          <t>Variabelt energitillæg 0,00 kr</t>
        </r>
      </text>
    </comment>
    <comment ref="E52" authorId="0">
      <text>
        <r>
          <rPr>
            <b/>
            <sz val="10"/>
            <color indexed="81"/>
            <rFont val="Calibri"/>
            <family val="2"/>
          </rPr>
          <t>Variabelt energitillæg 0 kr</t>
        </r>
      </text>
    </comment>
    <comment ref="G52" authorId="0">
      <text>
        <r>
          <rPr>
            <b/>
            <sz val="10"/>
            <color indexed="81"/>
            <rFont val="Calibri"/>
            <family val="2"/>
          </rPr>
          <t xml:space="preserve">224.682 km
SOH 94,6%, sidste måling 92,5%
</t>
        </r>
      </text>
    </comment>
    <comment ref="E53" authorId="0">
      <text>
        <r>
          <rPr>
            <b/>
            <sz val="10"/>
            <color indexed="81"/>
            <rFont val="Calibri"/>
            <family val="2"/>
          </rPr>
          <t>Variabelt energitillæg 0.0 øre/kWh</t>
        </r>
      </text>
    </comment>
    <comment ref="E54" authorId="0">
      <text>
        <r>
          <rPr>
            <sz val="10"/>
            <color indexed="81"/>
            <rFont val="Calibri"/>
            <family val="2"/>
          </rPr>
          <t xml:space="preserve">Variabelt energitillæg 0,0 kr/kWh
</t>
        </r>
      </text>
    </comment>
    <comment ref="E55" authorId="0">
      <text>
        <r>
          <rPr>
            <b/>
            <sz val="10"/>
            <color indexed="81"/>
            <rFont val="Calibri"/>
            <family val="2"/>
          </rPr>
          <t>Variabelt energitillæg 0,0 kr</t>
        </r>
      </text>
    </comment>
    <comment ref="G55" authorId="0">
      <text>
        <r>
          <rPr>
            <b/>
            <sz val="10"/>
            <color indexed="81"/>
            <rFont val="Calibri"/>
            <family val="2"/>
          </rPr>
          <t>239.629 km
Service 2.454
Viskerblade for 384
Pære 135
SOH 92,8%</t>
        </r>
      </text>
    </comment>
  </commentList>
</comments>
</file>

<file path=xl/sharedStrings.xml><?xml version="1.0" encoding="utf-8"?>
<sst xmlns="http://schemas.openxmlformats.org/spreadsheetml/2006/main" count="119" uniqueCount="51">
  <si>
    <t>Hyundai Kona 64 kWh, Premium.</t>
  </si>
  <si>
    <t>&lt;- gæt på salgspris</t>
  </si>
  <si>
    <t>kr/l</t>
  </si>
  <si>
    <t>Total
km</t>
  </si>
  <si>
    <t>Clever</t>
  </si>
  <si>
    <t>Service</t>
  </si>
  <si>
    <t>El kr/km
Clever + øvrige</t>
  </si>
  <si>
    <t>Kr/km
ved skrotning</t>
  </si>
  <si>
    <t>Kr/km
ved salg</t>
  </si>
  <si>
    <t>Løsdele</t>
    <phoneticPr fontId="0" type="noConversion"/>
  </si>
  <si>
    <t>Totaler</t>
  </si>
  <si>
    <t>km
total</t>
  </si>
  <si>
    <t>Km
måned</t>
  </si>
  <si>
    <t>Elregning
Clever</t>
  </si>
  <si>
    <t>kr/km
(el abonnement)</t>
  </si>
  <si>
    <t>Service +
rep.</t>
  </si>
  <si>
    <t xml:space="preserve"> Eon
kr</t>
  </si>
  <si>
    <t>Øvrige el indkøb
kr</t>
  </si>
  <si>
    <t>Servicepriser
oplyst af Karvil biler</t>
  </si>
  <si>
    <t>august</t>
  </si>
  <si>
    <t>KM</t>
  </si>
  <si>
    <r>
      <t xml:space="preserve">Pris </t>
    </r>
    <r>
      <rPr>
        <b/>
        <sz val="12"/>
        <color theme="1"/>
        <rFont val="Calibri"/>
        <family val="2"/>
        <scheme val="minor"/>
      </rPr>
      <t>ex. reservedele</t>
    </r>
  </si>
  <si>
    <t>kr/km</t>
  </si>
  <si>
    <t>Fakstisk</t>
  </si>
  <si>
    <t>dæk</t>
    <phoneticPr fontId="0" type="noConversion"/>
  </si>
  <si>
    <t>september</t>
  </si>
  <si>
    <t>dæk</t>
  </si>
  <si>
    <t>oktober</t>
  </si>
  <si>
    <t>november</t>
  </si>
  <si>
    <t>december</t>
  </si>
  <si>
    <t>januar</t>
  </si>
  <si>
    <t>februar</t>
  </si>
  <si>
    <t>marts</t>
  </si>
  <si>
    <t>april</t>
  </si>
  <si>
    <t>maj</t>
  </si>
  <si>
    <t>juni</t>
  </si>
  <si>
    <t>juli</t>
  </si>
  <si>
    <t>215-55 R17</t>
  </si>
  <si>
    <t>Km pr år</t>
  </si>
  <si>
    <t>x</t>
  </si>
  <si>
    <t>Nexen sommerdæk</t>
  </si>
  <si>
    <t>km</t>
  </si>
  <si>
    <t>Michelin Cross climate</t>
  </si>
  <si>
    <t>&lt;- Batteri skiftet</t>
  </si>
  <si>
    <t>Kr/km 
inkl service og rep.</t>
  </si>
  <si>
    <t>km/l</t>
  </si>
  <si>
    <t>kr</t>
  </si>
  <si>
    <t>kWh købt
ude + hjemme</t>
    <phoneticPr fontId="9" type="noConversion"/>
  </si>
  <si>
    <t>Ferie</t>
  </si>
  <si>
    <t>Continental AllSeasonContact 2 215/55 R17 98W XL, 3PMSF, EVc </t>
  </si>
  <si>
    <t>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</si>
</sst>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._-;\-* #,##0.00\ _k_r_._-;_-* &quot;-&quot;??\ _k_r_._-;_-@_-"/>
    <numFmt numFmtId="164" formatCode="#,##0.000"/>
    <numFmt numFmtId="165" formatCode="0.000"/>
    <numFmt numFmtId="166" formatCode="0.0000"/>
    <numFmt numFmtId="167" formatCode="_-* #,##0\ _k_r_._-;\-* #,##0\ _k_r_._-;_-* &quot;-&quot;??\ _k_r_.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3" fontId="0" fillId="2" borderId="0" xfId="0" applyNumberFormat="1" applyFill="1" applyAlignment="1">
      <alignment horizontal="center"/>
    </xf>
    <xf numFmtId="0" fontId="2" fillId="0" borderId="0" xfId="0" applyFont="1"/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 applyAlignment="1">
      <alignment horizontal="center"/>
    </xf>
    <xf numFmtId="3" fontId="0" fillId="0" borderId="0" xfId="0" applyNumberFormat="1"/>
    <xf numFmtId="164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5" borderId="0" xfId="0" applyFill="1"/>
    <xf numFmtId="1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3" fontId="0" fillId="5" borderId="0" xfId="0" applyNumberFormat="1" applyFill="1"/>
    <xf numFmtId="166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7" fontId="0" fillId="0" borderId="0" xfId="1" applyNumberFormat="1" applyFont="1"/>
    <xf numFmtId="0" fontId="0" fillId="6" borderId="0" xfId="0" applyFill="1"/>
    <xf numFmtId="0" fontId="0" fillId="0" borderId="0" xfId="0" applyFill="1"/>
    <xf numFmtId="0" fontId="3" fillId="0" borderId="0" xfId="0" applyFont="1" applyAlignment="1"/>
    <xf numFmtId="0" fontId="0" fillId="7" borderId="0" xfId="0" applyFill="1" applyAlignment="1">
      <alignment horizontal="center"/>
    </xf>
    <xf numFmtId="2" fontId="0" fillId="7" borderId="0" xfId="0" applyNumberFormat="1" applyFill="1" applyAlignment="1">
      <alignment horizontal="center"/>
    </xf>
    <xf numFmtId="17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0" fillId="3" borderId="0" xfId="0" applyNumberFormat="1" applyFill="1" applyAlignment="1">
      <alignment horizontal="center"/>
    </xf>
    <xf numFmtId="3" fontId="2" fillId="7" borderId="0" xfId="0" applyNumberFormat="1" applyFont="1" applyFill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1"/>
  <sheetViews>
    <sheetView tabSelected="1" workbookViewId="0">
      <pane xSplit="3" ySplit="4" topLeftCell="D50" activePane="bottomRight" state="frozen"/>
      <selection pane="topRight" activeCell="D1" sqref="D1"/>
      <selection pane="bottomLeft" activeCell="A5" sqref="A5"/>
      <selection pane="bottomRight" activeCell="A66" sqref="A66"/>
    </sheetView>
  </sheetViews>
  <sheetFormatPr baseColWidth="10" defaultRowHeight="16" x14ac:dyDescent="0.2"/>
  <cols>
    <col min="1" max="1" width="8.1640625" customWidth="1"/>
    <col min="2" max="2" width="5.33203125" bestFit="1" customWidth="1"/>
    <col min="3" max="3" width="10" bestFit="1" customWidth="1"/>
    <col min="4" max="4" width="8.33203125" bestFit="1" customWidth="1"/>
    <col min="5" max="5" width="8.6640625" bestFit="1" customWidth="1"/>
    <col min="6" max="6" width="14.6640625" bestFit="1" customWidth="1"/>
    <col min="7" max="7" width="9" customWidth="1"/>
    <col min="8" max="8" width="14.1640625" customWidth="1"/>
    <col min="9" max="9" width="17.1640625" bestFit="1" customWidth="1"/>
    <col min="10" max="10" width="14.33203125" bestFit="1" customWidth="1"/>
    <col min="11" max="11" width="11.1640625" customWidth="1"/>
    <col min="12" max="12" width="7.6640625" bestFit="1" customWidth="1"/>
    <col min="13" max="13" width="19.33203125" bestFit="1" customWidth="1"/>
    <col min="14" max="14" width="6.6640625" bestFit="1" customWidth="1"/>
    <col min="15" max="15" width="7.5" bestFit="1" customWidth="1"/>
    <col min="16" max="16" width="16.1640625" customWidth="1"/>
    <col min="17" max="17" width="8" bestFit="1" customWidth="1"/>
    <col min="18" max="18" width="5.6640625" bestFit="1" customWidth="1"/>
    <col min="19" max="19" width="54" bestFit="1" customWidth="1"/>
  </cols>
  <sheetData>
    <row r="1" spans="1:18" ht="24" x14ac:dyDescent="0.3">
      <c r="A1" s="34">
        <v>18</v>
      </c>
      <c r="B1" s="34" t="s">
        <v>45</v>
      </c>
      <c r="C1" s="33"/>
      <c r="D1" s="41" t="s">
        <v>0</v>
      </c>
      <c r="E1" s="41"/>
      <c r="F1" s="41"/>
      <c r="G1" s="41"/>
      <c r="H1" s="41"/>
      <c r="I1" s="33"/>
      <c r="K1" s="1">
        <v>100000</v>
      </c>
      <c r="L1" s="40" t="s">
        <v>1</v>
      </c>
      <c r="M1" s="40"/>
    </row>
    <row r="2" spans="1:18" ht="32" x14ac:dyDescent="0.2">
      <c r="A2" s="35">
        <v>12.3</v>
      </c>
      <c r="B2" s="34" t="s">
        <v>2</v>
      </c>
      <c r="C2" s="2"/>
      <c r="D2" s="3" t="s">
        <v>3</v>
      </c>
      <c r="E2" s="3" t="s">
        <v>4</v>
      </c>
      <c r="G2" s="3" t="s">
        <v>5</v>
      </c>
      <c r="H2" s="4" t="s">
        <v>6</v>
      </c>
      <c r="I2" s="4" t="s">
        <v>44</v>
      </c>
      <c r="J2" s="4" t="s">
        <v>7</v>
      </c>
      <c r="K2" s="4" t="s">
        <v>8</v>
      </c>
      <c r="M2" s="9"/>
      <c r="P2" s="5" t="s">
        <v>9</v>
      </c>
    </row>
    <row r="3" spans="1:18" ht="17" x14ac:dyDescent="0.2">
      <c r="A3" s="43">
        <f>+(D3/A1)*A2-E3</f>
        <v>143207.66166666668</v>
      </c>
      <c r="B3" s="34" t="s">
        <v>46</v>
      </c>
      <c r="C3" s="7" t="s">
        <v>10</v>
      </c>
      <c r="D3" s="8">
        <f>+MAX(A5:A450)</f>
        <v>271383</v>
      </c>
      <c r="E3" s="8">
        <f>+SUM(E5:E450)</f>
        <v>42237.388333333336</v>
      </c>
      <c r="F3" s="9"/>
      <c r="G3" s="8">
        <f>+SUM(G5:G450)</f>
        <v>28648.1</v>
      </c>
      <c r="H3" s="10">
        <f>(E3+SUM(I5:J450))/D3</f>
        <v>0.1656149955352153</v>
      </c>
      <c r="I3" s="11">
        <f>+(G3+E3+SUM(I5:J450))/D3</f>
        <v>0.27117835064588919</v>
      </c>
      <c r="J3" s="12">
        <f>+(350000+E3+G3+P3+SUM(I5:J300))/D3</f>
        <v>1.6258431601586441</v>
      </c>
      <c r="K3" s="12">
        <f>+(350000+E3+G3-K1+SUM(I5:J450)+P3)/D3</f>
        <v>1.257360241184353</v>
      </c>
      <c r="L3" s="13"/>
      <c r="M3" s="13"/>
      <c r="N3" s="13"/>
      <c r="O3" s="13"/>
      <c r="P3" s="5">
        <f>+SUM(P5:P18)</f>
        <v>17633</v>
      </c>
    </row>
    <row r="4" spans="1:18" ht="32" x14ac:dyDescent="0.2">
      <c r="A4" s="14" t="s">
        <v>11</v>
      </c>
      <c r="D4" s="15" t="s">
        <v>12</v>
      </c>
      <c r="E4" s="15" t="s">
        <v>13</v>
      </c>
      <c r="F4" s="16" t="s">
        <v>14</v>
      </c>
      <c r="G4" s="15" t="s">
        <v>15</v>
      </c>
      <c r="H4" s="15" t="s">
        <v>47</v>
      </c>
      <c r="I4" s="17" t="s">
        <v>16</v>
      </c>
      <c r="J4" s="14" t="s">
        <v>17</v>
      </c>
      <c r="L4" s="18"/>
      <c r="M4" s="19" t="s">
        <v>18</v>
      </c>
      <c r="N4" s="20"/>
    </row>
    <row r="5" spans="1:18" x14ac:dyDescent="0.2">
      <c r="A5" s="6">
        <v>500</v>
      </c>
      <c r="B5">
        <v>2019</v>
      </c>
      <c r="C5" t="s">
        <v>19</v>
      </c>
      <c r="D5" s="6">
        <f>+A5</f>
        <v>500</v>
      </c>
      <c r="E5" s="21">
        <f>+(19.9666666666667)*5</f>
        <v>99.833333333333499</v>
      </c>
      <c r="F5" s="22">
        <f>+E5/D5</f>
        <v>0.19966666666666699</v>
      </c>
      <c r="G5" s="6">
        <v>0</v>
      </c>
      <c r="H5" s="6">
        <v>101</v>
      </c>
      <c r="I5" s="23"/>
      <c r="J5" s="13"/>
      <c r="L5" s="24" t="s">
        <v>20</v>
      </c>
      <c r="M5" s="20" t="s">
        <v>21</v>
      </c>
      <c r="N5" s="18" t="s">
        <v>22</v>
      </c>
      <c r="O5" s="13" t="s">
        <v>23</v>
      </c>
      <c r="P5" s="25">
        <v>5750</v>
      </c>
      <c r="Q5" t="s">
        <v>24</v>
      </c>
    </row>
    <row r="6" spans="1:18" x14ac:dyDescent="0.2">
      <c r="A6" s="6">
        <v>6590</v>
      </c>
      <c r="C6" t="s">
        <v>25</v>
      </c>
      <c r="D6" s="6">
        <f t="shared" ref="D6:D61" si="0">+A6-A5</f>
        <v>6090</v>
      </c>
      <c r="E6" s="13">
        <v>599</v>
      </c>
      <c r="F6" s="22">
        <f t="shared" ref="F6:F69" si="1">IFERROR(E6/D6,0)</f>
        <v>9.8357963875205248E-2</v>
      </c>
      <c r="G6" s="6">
        <v>0</v>
      </c>
      <c r="H6" s="6">
        <v>938</v>
      </c>
      <c r="I6" s="23"/>
      <c r="J6" s="13"/>
      <c r="L6" s="26">
        <v>15000</v>
      </c>
      <c r="M6" s="18">
        <v>1899</v>
      </c>
      <c r="N6" s="27">
        <f>M6/15000</f>
        <v>0.12659999999999999</v>
      </c>
      <c r="O6" s="6">
        <v>946</v>
      </c>
      <c r="P6" s="25">
        <v>6700</v>
      </c>
      <c r="Q6" t="s">
        <v>26</v>
      </c>
    </row>
    <row r="7" spans="1:18" x14ac:dyDescent="0.2">
      <c r="A7" s="6">
        <v>11600</v>
      </c>
      <c r="C7" t="s">
        <v>27</v>
      </c>
      <c r="D7" s="6">
        <f t="shared" si="0"/>
        <v>5010</v>
      </c>
      <c r="E7" s="13">
        <v>599</v>
      </c>
      <c r="F7" s="22">
        <f t="shared" si="1"/>
        <v>0.11956087824351297</v>
      </c>
      <c r="G7" s="6">
        <v>0</v>
      </c>
      <c r="H7" s="6">
        <v>924</v>
      </c>
      <c r="I7" s="23"/>
      <c r="J7" s="13"/>
      <c r="L7" s="26">
        <v>30000</v>
      </c>
      <c r="M7" s="18">
        <v>2799</v>
      </c>
      <c r="N7" s="27">
        <f t="shared" ref="N7:N15" si="2">M7/15000</f>
        <v>0.18659999999999999</v>
      </c>
      <c r="O7" s="6">
        <v>1691</v>
      </c>
      <c r="P7" s="28">
        <v>5183</v>
      </c>
    </row>
    <row r="8" spans="1:18" x14ac:dyDescent="0.2">
      <c r="A8" s="6">
        <v>15846</v>
      </c>
      <c r="C8" t="s">
        <v>28</v>
      </c>
      <c r="D8" s="6">
        <f t="shared" si="0"/>
        <v>4246</v>
      </c>
      <c r="E8" s="13">
        <v>599</v>
      </c>
      <c r="F8" s="22">
        <f t="shared" si="1"/>
        <v>0.14107395195478098</v>
      </c>
      <c r="G8" s="6">
        <v>946</v>
      </c>
      <c r="H8" s="6">
        <v>990</v>
      </c>
      <c r="I8" s="29">
        <f>70.88</f>
        <v>70.88</v>
      </c>
      <c r="J8" s="13"/>
      <c r="L8" s="26">
        <v>45000</v>
      </c>
      <c r="M8" s="18">
        <v>1899</v>
      </c>
      <c r="N8" s="27">
        <f t="shared" si="2"/>
        <v>0.12659999999999999</v>
      </c>
      <c r="O8" s="6">
        <v>895</v>
      </c>
      <c r="P8" s="28"/>
    </row>
    <row r="9" spans="1:18" x14ac:dyDescent="0.2">
      <c r="A9" s="6">
        <v>20834</v>
      </c>
      <c r="C9" t="s">
        <v>29</v>
      </c>
      <c r="D9" s="6">
        <f t="shared" si="0"/>
        <v>4988</v>
      </c>
      <c r="E9" s="13">
        <v>599</v>
      </c>
      <c r="F9" s="22">
        <f t="shared" si="1"/>
        <v>0.12008821170809944</v>
      </c>
      <c r="G9" s="6">
        <v>0</v>
      </c>
      <c r="H9" s="6">
        <v>696</v>
      </c>
      <c r="I9" s="29">
        <f>41.44</f>
        <v>41.44</v>
      </c>
      <c r="J9" s="13"/>
      <c r="L9" s="26">
        <v>60000</v>
      </c>
      <c r="M9" s="18">
        <v>2899</v>
      </c>
      <c r="N9" s="27">
        <f t="shared" si="2"/>
        <v>0.19326666666666667</v>
      </c>
      <c r="O9" s="6">
        <v>3010</v>
      </c>
      <c r="P9" s="28"/>
      <c r="Q9" s="9"/>
      <c r="R9" s="30"/>
    </row>
    <row r="10" spans="1:18" x14ac:dyDescent="0.2">
      <c r="A10" s="6">
        <v>25901</v>
      </c>
      <c r="B10">
        <v>2020</v>
      </c>
      <c r="C10" t="s">
        <v>30</v>
      </c>
      <c r="D10" s="6">
        <f t="shared" si="0"/>
        <v>5067</v>
      </c>
      <c r="E10" s="13">
        <v>659</v>
      </c>
      <c r="F10" s="22">
        <f t="shared" si="1"/>
        <v>0.13005723307677128</v>
      </c>
      <c r="G10" s="6">
        <v>0</v>
      </c>
      <c r="H10" s="6">
        <v>1030</v>
      </c>
      <c r="I10" s="29">
        <f>81.36</f>
        <v>81.36</v>
      </c>
      <c r="J10" s="13"/>
      <c r="L10" s="26">
        <v>75000</v>
      </c>
      <c r="M10" s="18">
        <v>1899</v>
      </c>
      <c r="N10" s="27">
        <f t="shared" si="2"/>
        <v>0.12659999999999999</v>
      </c>
      <c r="O10" s="6">
        <v>899</v>
      </c>
      <c r="P10" s="28"/>
    </row>
    <row r="11" spans="1:18" x14ac:dyDescent="0.2">
      <c r="A11" s="6">
        <v>30770</v>
      </c>
      <c r="C11" t="s">
        <v>31</v>
      </c>
      <c r="D11" s="6">
        <f t="shared" si="0"/>
        <v>4869</v>
      </c>
      <c r="E11" s="13">
        <v>659</v>
      </c>
      <c r="F11" s="22">
        <f t="shared" si="1"/>
        <v>0.13534606695420004</v>
      </c>
      <c r="G11" s="6">
        <v>1691</v>
      </c>
      <c r="H11" s="6">
        <v>836</v>
      </c>
      <c r="I11" s="29"/>
      <c r="J11" s="13">
        <f>60*3*0.7</f>
        <v>125.99999999999999</v>
      </c>
      <c r="L11" s="26">
        <v>90000</v>
      </c>
      <c r="M11" s="18">
        <v>2900</v>
      </c>
      <c r="N11" s="27">
        <f t="shared" si="2"/>
        <v>0.19333333333333333</v>
      </c>
      <c r="O11" s="6">
        <v>1439</v>
      </c>
      <c r="P11" s="28"/>
    </row>
    <row r="12" spans="1:18" x14ac:dyDescent="0.2">
      <c r="A12" s="6">
        <v>34277</v>
      </c>
      <c r="C12" t="s">
        <v>32</v>
      </c>
      <c r="D12" s="6">
        <f t="shared" si="0"/>
        <v>3507</v>
      </c>
      <c r="E12" s="13">
        <v>659</v>
      </c>
      <c r="F12" s="22">
        <f t="shared" si="1"/>
        <v>0.18790989449672085</v>
      </c>
      <c r="G12" s="6">
        <v>0</v>
      </c>
      <c r="H12" s="6">
        <v>641</v>
      </c>
      <c r="I12" s="29"/>
      <c r="J12" s="13"/>
      <c r="L12" s="26">
        <v>105000</v>
      </c>
      <c r="M12" s="18">
        <v>1899</v>
      </c>
      <c r="N12" s="27">
        <f t="shared" si="2"/>
        <v>0.12659999999999999</v>
      </c>
      <c r="O12" s="6">
        <v>895</v>
      </c>
      <c r="P12" s="28"/>
    </row>
    <row r="13" spans="1:18" x14ac:dyDescent="0.2">
      <c r="A13" s="6">
        <v>36875</v>
      </c>
      <c r="C13" t="s">
        <v>33</v>
      </c>
      <c r="D13" s="6">
        <f t="shared" si="0"/>
        <v>2598</v>
      </c>
      <c r="E13" s="13">
        <v>659</v>
      </c>
      <c r="F13" s="22">
        <f t="shared" si="1"/>
        <v>0.25365665896843725</v>
      </c>
      <c r="G13" s="6">
        <v>0</v>
      </c>
      <c r="H13" s="6">
        <v>435</v>
      </c>
      <c r="I13" s="29"/>
      <c r="J13" s="13"/>
      <c r="L13" s="26">
        <v>120000</v>
      </c>
      <c r="M13" s="18">
        <v>2900</v>
      </c>
      <c r="N13" s="27">
        <f t="shared" si="2"/>
        <v>0.19333333333333333</v>
      </c>
      <c r="O13" s="6">
        <v>3064</v>
      </c>
      <c r="P13" s="28"/>
      <c r="Q13" s="9"/>
      <c r="R13" s="30"/>
    </row>
    <row r="14" spans="1:18" x14ac:dyDescent="0.2">
      <c r="A14" s="6">
        <v>40624</v>
      </c>
      <c r="C14" t="s">
        <v>34</v>
      </c>
      <c r="D14" s="6">
        <f t="shared" si="0"/>
        <v>3749</v>
      </c>
      <c r="E14" s="13">
        <v>659</v>
      </c>
      <c r="F14" s="22">
        <f t="shared" si="1"/>
        <v>0.17578020805548147</v>
      </c>
      <c r="G14" s="6">
        <v>0</v>
      </c>
      <c r="H14" s="6">
        <v>641</v>
      </c>
      <c r="I14" s="23"/>
      <c r="J14" s="13"/>
      <c r="L14" s="26">
        <v>135000</v>
      </c>
      <c r="M14" s="18">
        <v>1899</v>
      </c>
      <c r="N14" s="27">
        <f t="shared" si="2"/>
        <v>0.12659999999999999</v>
      </c>
      <c r="O14" s="6">
        <v>980</v>
      </c>
      <c r="P14" s="28"/>
    </row>
    <row r="15" spans="1:18" x14ac:dyDescent="0.2">
      <c r="A15" s="6">
        <v>45925</v>
      </c>
      <c r="C15" t="s">
        <v>35</v>
      </c>
      <c r="D15" s="6">
        <f t="shared" si="0"/>
        <v>5301</v>
      </c>
      <c r="E15" s="13">
        <v>659</v>
      </c>
      <c r="F15" s="22">
        <f t="shared" si="1"/>
        <v>0.12431616676098849</v>
      </c>
      <c r="G15" s="6">
        <v>895</v>
      </c>
      <c r="H15" s="6">
        <v>919</v>
      </c>
      <c r="I15" s="23"/>
      <c r="J15" s="13"/>
      <c r="L15" s="26">
        <v>150000</v>
      </c>
      <c r="M15" s="18">
        <v>3399</v>
      </c>
      <c r="N15" s="27">
        <f t="shared" si="2"/>
        <v>0.2266</v>
      </c>
      <c r="O15" s="6">
        <v>1384</v>
      </c>
      <c r="P15" s="28"/>
    </row>
    <row r="16" spans="1:18" x14ac:dyDescent="0.2">
      <c r="A16" s="6">
        <v>50291</v>
      </c>
      <c r="C16" t="s">
        <v>36</v>
      </c>
      <c r="D16" s="6">
        <f t="shared" si="0"/>
        <v>4366</v>
      </c>
      <c r="E16" s="13">
        <v>659</v>
      </c>
      <c r="F16" s="22">
        <f t="shared" si="1"/>
        <v>0.15093907466788822</v>
      </c>
      <c r="G16" s="6">
        <v>0</v>
      </c>
      <c r="H16" s="6">
        <v>685</v>
      </c>
      <c r="I16" s="23"/>
      <c r="J16" s="13"/>
      <c r="K16" s="13"/>
      <c r="L16" s="26">
        <v>165000</v>
      </c>
      <c r="M16" s="13"/>
      <c r="O16" s="6">
        <v>2102</v>
      </c>
      <c r="P16" s="31"/>
    </row>
    <row r="17" spans="1:23" x14ac:dyDescent="0.2">
      <c r="A17" s="6">
        <v>55084</v>
      </c>
      <c r="C17" t="s">
        <v>19</v>
      </c>
      <c r="D17" s="6">
        <f t="shared" si="0"/>
        <v>4793</v>
      </c>
      <c r="E17" s="13">
        <v>659</v>
      </c>
      <c r="F17" s="22">
        <f t="shared" si="1"/>
        <v>0.13749217609013145</v>
      </c>
      <c r="G17" s="6">
        <v>0</v>
      </c>
      <c r="H17" s="6">
        <v>762</v>
      </c>
      <c r="I17" s="23"/>
      <c r="J17" s="13"/>
      <c r="K17" s="13"/>
      <c r="L17" s="26">
        <v>180000</v>
      </c>
      <c r="O17" s="6">
        <v>2482</v>
      </c>
      <c r="P17" s="31"/>
    </row>
    <row r="18" spans="1:23" x14ac:dyDescent="0.2">
      <c r="A18" s="6">
        <v>59869</v>
      </c>
      <c r="C18" t="s">
        <v>25</v>
      </c>
      <c r="D18" s="6">
        <f t="shared" si="0"/>
        <v>4785</v>
      </c>
      <c r="E18" s="13">
        <v>659</v>
      </c>
      <c r="F18" s="22">
        <f t="shared" si="1"/>
        <v>0.13772204806687566</v>
      </c>
      <c r="G18" s="6">
        <f>2093.6+916</f>
        <v>3009.6</v>
      </c>
      <c r="H18" s="6">
        <v>802</v>
      </c>
      <c r="I18" s="23"/>
      <c r="J18" s="13"/>
      <c r="K18" s="13"/>
      <c r="L18" s="26">
        <v>195000</v>
      </c>
      <c r="O18" s="6">
        <v>1159</v>
      </c>
      <c r="P18" s="31"/>
      <c r="R18" t="s">
        <v>50</v>
      </c>
      <c r="S18" t="s">
        <v>37</v>
      </c>
      <c r="T18" s="9"/>
      <c r="V18">
        <v>0</v>
      </c>
    </row>
    <row r="19" spans="1:23" x14ac:dyDescent="0.2">
      <c r="A19" s="6">
        <v>64234</v>
      </c>
      <c r="C19" t="s">
        <v>27</v>
      </c>
      <c r="D19" s="6">
        <f t="shared" si="0"/>
        <v>4365</v>
      </c>
      <c r="E19" s="13">
        <v>659</v>
      </c>
      <c r="F19" s="22">
        <f t="shared" si="1"/>
        <v>0.15097365406643756</v>
      </c>
      <c r="G19" s="6">
        <v>0</v>
      </c>
      <c r="H19" s="6">
        <v>873</v>
      </c>
      <c r="I19" s="23"/>
      <c r="J19" s="13"/>
      <c r="K19" s="13"/>
      <c r="L19" s="26">
        <v>210000</v>
      </c>
      <c r="M19" s="13"/>
      <c r="O19" s="6">
        <v>2233</v>
      </c>
      <c r="Q19" t="s">
        <v>38</v>
      </c>
      <c r="R19" s="13" t="s">
        <v>39</v>
      </c>
      <c r="S19" s="39" t="s">
        <v>40</v>
      </c>
      <c r="T19" s="9">
        <v>73500</v>
      </c>
      <c r="U19" t="s">
        <v>41</v>
      </c>
      <c r="V19" s="9">
        <v>73500</v>
      </c>
      <c r="W19" s="36">
        <v>44166</v>
      </c>
    </row>
    <row r="20" spans="1:23" x14ac:dyDescent="0.2">
      <c r="A20" s="6">
        <v>70130</v>
      </c>
      <c r="C20" t="s">
        <v>28</v>
      </c>
      <c r="D20" s="6">
        <f t="shared" si="0"/>
        <v>5896</v>
      </c>
      <c r="E20" s="13">
        <v>659</v>
      </c>
      <c r="F20" s="22">
        <f t="shared" si="1"/>
        <v>0.1117706919945726</v>
      </c>
      <c r="G20" s="6">
        <v>0</v>
      </c>
      <c r="H20" s="6">
        <v>969</v>
      </c>
      <c r="I20" s="23"/>
      <c r="J20" s="13"/>
      <c r="K20" s="13"/>
      <c r="L20" s="26">
        <v>225000</v>
      </c>
      <c r="M20" s="13"/>
      <c r="O20" s="6">
        <v>1268</v>
      </c>
      <c r="P20">
        <v>2019</v>
      </c>
      <c r="Q20" s="9">
        <f>+SUM(D5:D9)</f>
        <v>20834</v>
      </c>
      <c r="R20" s="6">
        <v>5750</v>
      </c>
      <c r="S20" s="39" t="s">
        <v>42</v>
      </c>
      <c r="T20" s="9">
        <v>166000</v>
      </c>
      <c r="U20" t="s">
        <v>41</v>
      </c>
      <c r="V20" s="9">
        <f>+T20-T19</f>
        <v>92500</v>
      </c>
      <c r="W20" s="36">
        <v>44774</v>
      </c>
    </row>
    <row r="21" spans="1:23" x14ac:dyDescent="0.2">
      <c r="A21" s="6">
        <v>73812</v>
      </c>
      <c r="C21" t="s">
        <v>29</v>
      </c>
      <c r="D21" s="6">
        <f t="shared" si="0"/>
        <v>3682</v>
      </c>
      <c r="E21" s="13">
        <v>659</v>
      </c>
      <c r="F21" s="22">
        <f t="shared" si="1"/>
        <v>0.17897881586094513</v>
      </c>
      <c r="G21" s="6">
        <v>0</v>
      </c>
      <c r="H21" s="6">
        <v>692</v>
      </c>
      <c r="I21" s="23"/>
      <c r="J21" s="13"/>
      <c r="L21" s="26">
        <v>240000</v>
      </c>
      <c r="P21">
        <v>2020</v>
      </c>
      <c r="Q21" s="9">
        <f>+SUM(D10:D21)</f>
        <v>52978</v>
      </c>
      <c r="R21" s="6">
        <v>6700</v>
      </c>
      <c r="S21" t="s">
        <v>42</v>
      </c>
      <c r="T21" s="9">
        <v>271383</v>
      </c>
      <c r="U21" t="s">
        <v>41</v>
      </c>
      <c r="V21" s="9">
        <f>+T21-T20</f>
        <v>105383</v>
      </c>
      <c r="W21" s="36">
        <v>45383</v>
      </c>
    </row>
    <row r="22" spans="1:23" x14ac:dyDescent="0.2">
      <c r="A22" s="6">
        <v>75771</v>
      </c>
      <c r="B22">
        <v>2021</v>
      </c>
      <c r="C22" t="s">
        <v>30</v>
      </c>
      <c r="D22" s="6">
        <f t="shared" si="0"/>
        <v>1959</v>
      </c>
      <c r="E22" s="13">
        <v>659</v>
      </c>
      <c r="F22" s="22">
        <f t="shared" si="1"/>
        <v>0.33639612046962736</v>
      </c>
      <c r="G22" s="6">
        <v>899</v>
      </c>
      <c r="H22" s="6">
        <v>430</v>
      </c>
      <c r="I22" s="23"/>
      <c r="J22" s="13"/>
      <c r="L22" s="26">
        <v>255000</v>
      </c>
      <c r="P22">
        <v>2021</v>
      </c>
      <c r="Q22" s="9">
        <f>+SUM(D22:D33)</f>
        <v>53299</v>
      </c>
      <c r="R22" s="9">
        <f>5183+995*1.25</f>
        <v>6426.75</v>
      </c>
      <c r="S22" t="s">
        <v>49</v>
      </c>
      <c r="T22" s="9">
        <f>D3</f>
        <v>271383</v>
      </c>
      <c r="V22" s="9">
        <f>+T22-T21</f>
        <v>0</v>
      </c>
    </row>
    <row r="23" spans="1:23" x14ac:dyDescent="0.2">
      <c r="A23" s="6">
        <v>77954</v>
      </c>
      <c r="C23" t="s">
        <v>31</v>
      </c>
      <c r="D23" s="6">
        <f t="shared" si="0"/>
        <v>2183</v>
      </c>
      <c r="E23" s="13">
        <v>659</v>
      </c>
      <c r="F23" s="22">
        <f t="shared" si="1"/>
        <v>0.30187814933577645</v>
      </c>
      <c r="G23" s="6">
        <v>0</v>
      </c>
      <c r="H23" s="6">
        <v>453</v>
      </c>
      <c r="I23" s="23"/>
      <c r="J23" s="13"/>
      <c r="L23" s="26">
        <v>270000</v>
      </c>
      <c r="P23">
        <v>2022</v>
      </c>
      <c r="Q23" s="9">
        <f>+SUM(D34:D45)</f>
        <v>64254</v>
      </c>
      <c r="R23" s="9"/>
      <c r="T23" s="9"/>
    </row>
    <row r="24" spans="1:23" x14ac:dyDescent="0.2">
      <c r="A24" s="6">
        <v>82772</v>
      </c>
      <c r="C24" t="s">
        <v>32</v>
      </c>
      <c r="D24" s="6">
        <f t="shared" si="0"/>
        <v>4818</v>
      </c>
      <c r="E24" s="13">
        <v>659</v>
      </c>
      <c r="F24" s="22">
        <f t="shared" si="1"/>
        <v>0.13677874636778747</v>
      </c>
      <c r="G24" s="6">
        <v>0</v>
      </c>
      <c r="H24" s="6">
        <v>932</v>
      </c>
      <c r="I24" s="23"/>
      <c r="J24" s="13"/>
      <c r="L24" s="26">
        <v>285000</v>
      </c>
      <c r="P24">
        <v>2023</v>
      </c>
      <c r="Q24" s="9">
        <f>+SUM(D46:D57)</f>
        <v>59117</v>
      </c>
      <c r="T24" s="9"/>
    </row>
    <row r="25" spans="1:23" x14ac:dyDescent="0.2">
      <c r="A25" s="6">
        <v>86088</v>
      </c>
      <c r="C25" t="s">
        <v>33</v>
      </c>
      <c r="D25" s="6">
        <f t="shared" si="0"/>
        <v>3316</v>
      </c>
      <c r="E25" s="13">
        <v>659</v>
      </c>
      <c r="F25" s="22">
        <f t="shared" si="1"/>
        <v>0.19873341375150785</v>
      </c>
      <c r="G25" s="6">
        <v>0</v>
      </c>
      <c r="H25" s="6">
        <v>671</v>
      </c>
      <c r="I25" s="23"/>
      <c r="J25" s="13"/>
      <c r="L25" s="26">
        <v>300000</v>
      </c>
      <c r="P25">
        <v>2024</v>
      </c>
      <c r="Q25" s="9">
        <f>+SUM(D58:D69)</f>
        <v>20901</v>
      </c>
      <c r="T25" s="9"/>
    </row>
    <row r="26" spans="1:23" x14ac:dyDescent="0.2">
      <c r="A26" s="6">
        <f>90530-223</f>
        <v>90307</v>
      </c>
      <c r="C26" t="s">
        <v>34</v>
      </c>
      <c r="D26" s="6">
        <f t="shared" si="0"/>
        <v>4219</v>
      </c>
      <c r="E26" s="13">
        <v>659</v>
      </c>
      <c r="F26" s="22">
        <f t="shared" si="1"/>
        <v>0.15619815122066841</v>
      </c>
      <c r="G26" s="6">
        <v>1439</v>
      </c>
      <c r="H26" s="6">
        <v>766</v>
      </c>
      <c r="I26" s="23"/>
      <c r="J26" s="13"/>
      <c r="P26">
        <v>2025</v>
      </c>
      <c r="Q26" s="9">
        <f>+SUM(D70:D81)</f>
        <v>0</v>
      </c>
      <c r="S26" s="9"/>
      <c r="T26" s="9"/>
    </row>
    <row r="27" spans="1:23" x14ac:dyDescent="0.2">
      <c r="A27" s="6">
        <v>95318</v>
      </c>
      <c r="C27" t="s">
        <v>35</v>
      </c>
      <c r="D27" s="6">
        <f t="shared" si="0"/>
        <v>5011</v>
      </c>
      <c r="E27" s="13">
        <v>659</v>
      </c>
      <c r="F27" s="22">
        <f t="shared" si="1"/>
        <v>0.13151067651167431</v>
      </c>
      <c r="G27" s="6">
        <v>0</v>
      </c>
      <c r="H27" s="6">
        <v>1037</v>
      </c>
      <c r="I27" s="23"/>
      <c r="J27" s="13">
        <v>75</v>
      </c>
    </row>
    <row r="28" spans="1:23" x14ac:dyDescent="0.2">
      <c r="A28" s="6">
        <v>100022</v>
      </c>
      <c r="C28" t="s">
        <v>36</v>
      </c>
      <c r="D28" s="6">
        <f t="shared" si="0"/>
        <v>4704</v>
      </c>
      <c r="E28" s="13">
        <v>659</v>
      </c>
      <c r="F28" s="22">
        <f t="shared" si="1"/>
        <v>0.140093537414966</v>
      </c>
      <c r="G28" s="6">
        <v>0</v>
      </c>
      <c r="H28" s="6">
        <v>669</v>
      </c>
      <c r="I28" s="23"/>
      <c r="J28" s="13"/>
    </row>
    <row r="29" spans="1:23" x14ac:dyDescent="0.2">
      <c r="A29" s="6">
        <v>106280</v>
      </c>
      <c r="C29" t="s">
        <v>19</v>
      </c>
      <c r="D29" s="6">
        <f t="shared" si="0"/>
        <v>6258</v>
      </c>
      <c r="E29" s="13">
        <v>659</v>
      </c>
      <c r="F29" s="22">
        <f t="shared" si="1"/>
        <v>0.10530520933205496</v>
      </c>
      <c r="G29" s="6">
        <v>895</v>
      </c>
      <c r="H29" s="6">
        <v>945</v>
      </c>
      <c r="I29" s="23"/>
      <c r="J29" s="13"/>
      <c r="P29" s="36"/>
      <c r="Q29" s="37"/>
    </row>
    <row r="30" spans="1:23" x14ac:dyDescent="0.2">
      <c r="A30" s="6">
        <v>111878</v>
      </c>
      <c r="C30" t="s">
        <v>25</v>
      </c>
      <c r="D30" s="6">
        <f t="shared" si="0"/>
        <v>5598</v>
      </c>
      <c r="E30" s="13">
        <v>659</v>
      </c>
      <c r="F30" s="22">
        <f t="shared" si="1"/>
        <v>0.11772061450518043</v>
      </c>
      <c r="G30" s="6">
        <v>0</v>
      </c>
      <c r="H30" s="6">
        <v>975</v>
      </c>
      <c r="I30" s="23"/>
      <c r="J30" s="13"/>
      <c r="P30" s="36"/>
      <c r="Q30" s="37"/>
    </row>
    <row r="31" spans="1:23" x14ac:dyDescent="0.2">
      <c r="A31" s="6">
        <v>117193</v>
      </c>
      <c r="C31" t="s">
        <v>27</v>
      </c>
      <c r="D31" s="6">
        <f t="shared" si="0"/>
        <v>5315</v>
      </c>
      <c r="E31" s="13">
        <v>659</v>
      </c>
      <c r="F31" s="22">
        <f t="shared" si="1"/>
        <v>0.12398871119473188</v>
      </c>
      <c r="G31" s="6">
        <v>0</v>
      </c>
      <c r="H31" s="6">
        <v>947</v>
      </c>
      <c r="I31" s="23"/>
      <c r="J31" s="13"/>
      <c r="P31" s="36"/>
      <c r="Q31" s="37"/>
    </row>
    <row r="32" spans="1:23" x14ac:dyDescent="0.2">
      <c r="A32" s="6">
        <v>123257</v>
      </c>
      <c r="C32" t="s">
        <v>28</v>
      </c>
      <c r="D32" s="6">
        <f t="shared" si="0"/>
        <v>6064</v>
      </c>
      <c r="E32" s="13">
        <v>659</v>
      </c>
      <c r="F32" s="22">
        <f t="shared" si="1"/>
        <v>0.10867414248021108</v>
      </c>
      <c r="G32" s="6">
        <v>3064</v>
      </c>
      <c r="H32" s="6">
        <v>1047</v>
      </c>
      <c r="I32" s="32"/>
      <c r="J32" s="13">
        <v>8</v>
      </c>
      <c r="P32" s="36"/>
      <c r="Q32" s="37"/>
    </row>
    <row r="33" spans="1:17" x14ac:dyDescent="0.2">
      <c r="A33" s="6">
        <v>127111</v>
      </c>
      <c r="C33" t="s">
        <v>29</v>
      </c>
      <c r="D33" s="6">
        <f t="shared" si="0"/>
        <v>3854</v>
      </c>
      <c r="E33" s="13">
        <v>659</v>
      </c>
      <c r="F33" s="22">
        <f t="shared" si="1"/>
        <v>0.17099117799688635</v>
      </c>
      <c r="G33" s="6">
        <v>0</v>
      </c>
      <c r="H33" s="6">
        <v>825</v>
      </c>
      <c r="I33" s="32"/>
      <c r="J33" s="13">
        <v>87</v>
      </c>
      <c r="P33" s="36"/>
      <c r="Q33" s="37"/>
    </row>
    <row r="34" spans="1:17" x14ac:dyDescent="0.2">
      <c r="A34" s="6">
        <v>132435</v>
      </c>
      <c r="B34">
        <v>2022</v>
      </c>
      <c r="C34" t="s">
        <v>30</v>
      </c>
      <c r="D34" s="6">
        <f t="shared" si="0"/>
        <v>5324</v>
      </c>
      <c r="E34" s="13">
        <v>659</v>
      </c>
      <c r="F34" s="22">
        <f t="shared" si="1"/>
        <v>0.12377911344853494</v>
      </c>
      <c r="H34" s="6">
        <v>1103</v>
      </c>
      <c r="I34" s="32"/>
      <c r="P34" s="36"/>
      <c r="Q34" s="37"/>
    </row>
    <row r="35" spans="1:17" x14ac:dyDescent="0.2">
      <c r="A35" s="6">
        <v>137427</v>
      </c>
      <c r="C35" t="s">
        <v>31</v>
      </c>
      <c r="D35" s="6">
        <f t="shared" si="0"/>
        <v>4992</v>
      </c>
      <c r="E35" s="13">
        <v>659</v>
      </c>
      <c r="F35" s="22">
        <f t="shared" si="1"/>
        <v>0.13201121794871795</v>
      </c>
      <c r="G35" s="6">
        <v>980</v>
      </c>
      <c r="H35" s="13">
        <v>989</v>
      </c>
      <c r="I35" s="32"/>
      <c r="P35" s="36"/>
      <c r="Q35" s="37"/>
    </row>
    <row r="36" spans="1:17" x14ac:dyDescent="0.2">
      <c r="A36" s="6">
        <v>143524</v>
      </c>
      <c r="C36" t="s">
        <v>32</v>
      </c>
      <c r="D36" s="6">
        <f t="shared" si="0"/>
        <v>6097</v>
      </c>
      <c r="E36" s="13">
        <v>659</v>
      </c>
      <c r="F36" s="22">
        <f t="shared" si="1"/>
        <v>0.10808594390683943</v>
      </c>
      <c r="H36" s="6">
        <v>1220</v>
      </c>
      <c r="P36" s="36"/>
      <c r="Q36" s="37"/>
    </row>
    <row r="37" spans="1:17" x14ac:dyDescent="0.2">
      <c r="A37" s="6">
        <v>148791</v>
      </c>
      <c r="C37" t="s">
        <v>33</v>
      </c>
      <c r="D37" s="6">
        <f t="shared" si="0"/>
        <v>5267</v>
      </c>
      <c r="E37" s="13">
        <v>659</v>
      </c>
      <c r="F37" s="22">
        <f t="shared" si="1"/>
        <v>0.12511866337573571</v>
      </c>
      <c r="H37" s="6">
        <v>1212</v>
      </c>
      <c r="M37" t="s">
        <v>43</v>
      </c>
      <c r="P37" s="36"/>
      <c r="Q37" s="37"/>
    </row>
    <row r="38" spans="1:17" x14ac:dyDescent="0.2">
      <c r="A38" s="6">
        <v>154099</v>
      </c>
      <c r="C38" t="s">
        <v>34</v>
      </c>
      <c r="D38" s="6">
        <f t="shared" si="0"/>
        <v>5308</v>
      </c>
      <c r="E38" s="6">
        <v>659</v>
      </c>
      <c r="F38" s="22">
        <f t="shared" si="1"/>
        <v>0.12415222305953279</v>
      </c>
      <c r="G38" s="6">
        <f>883.5+500</f>
        <v>1383.5</v>
      </c>
      <c r="H38" s="6">
        <v>1356</v>
      </c>
      <c r="P38" s="36"/>
      <c r="Q38" s="37"/>
    </row>
    <row r="39" spans="1:17" x14ac:dyDescent="0.2">
      <c r="A39" s="6">
        <v>160216</v>
      </c>
      <c r="C39" t="s">
        <v>35</v>
      </c>
      <c r="D39" s="6">
        <f t="shared" si="0"/>
        <v>6117</v>
      </c>
      <c r="E39" s="6">
        <v>1004</v>
      </c>
      <c r="F39" s="22">
        <f t="shared" si="1"/>
        <v>0.16413274480954718</v>
      </c>
      <c r="H39" s="6">
        <v>1001</v>
      </c>
      <c r="P39" s="36"/>
      <c r="Q39" s="37"/>
    </row>
    <row r="40" spans="1:17" x14ac:dyDescent="0.2">
      <c r="A40" s="6">
        <v>165541</v>
      </c>
      <c r="C40" t="s">
        <v>36</v>
      </c>
      <c r="D40" s="6">
        <f t="shared" si="0"/>
        <v>5325</v>
      </c>
      <c r="E40" s="6">
        <v>1004</v>
      </c>
      <c r="F40" s="22">
        <f t="shared" si="1"/>
        <v>0.18854460093896713</v>
      </c>
      <c r="G40" s="6">
        <v>2102</v>
      </c>
      <c r="H40" s="6">
        <v>609</v>
      </c>
      <c r="J40" s="6">
        <v>1161</v>
      </c>
      <c r="P40" s="36"/>
      <c r="Q40" s="37"/>
    </row>
    <row r="41" spans="1:17" x14ac:dyDescent="0.2">
      <c r="A41" s="6">
        <v>170887</v>
      </c>
      <c r="C41" t="s">
        <v>19</v>
      </c>
      <c r="D41" s="6">
        <f t="shared" si="0"/>
        <v>5346</v>
      </c>
      <c r="E41" s="6">
        <v>1004</v>
      </c>
      <c r="F41" s="22">
        <f t="shared" si="1"/>
        <v>0.18780396558174337</v>
      </c>
      <c r="G41" s="9"/>
      <c r="H41" s="6">
        <v>903</v>
      </c>
      <c r="M41" s="9"/>
      <c r="P41" s="36"/>
      <c r="Q41" s="37"/>
    </row>
    <row r="42" spans="1:17" x14ac:dyDescent="0.2">
      <c r="A42" s="6">
        <v>176923</v>
      </c>
      <c r="C42" t="s">
        <v>25</v>
      </c>
      <c r="D42" s="6">
        <f t="shared" si="0"/>
        <v>6036</v>
      </c>
      <c r="E42" s="6">
        <v>1004</v>
      </c>
      <c r="F42" s="22">
        <f t="shared" si="1"/>
        <v>0.1663353214049039</v>
      </c>
      <c r="H42" s="6">
        <v>1056</v>
      </c>
      <c r="P42" s="36"/>
      <c r="Q42" s="37"/>
    </row>
    <row r="43" spans="1:17" x14ac:dyDescent="0.2">
      <c r="A43" s="6">
        <f>182026-220</f>
        <v>181806</v>
      </c>
      <c r="C43" t="s">
        <v>27</v>
      </c>
      <c r="D43" s="6">
        <f t="shared" si="0"/>
        <v>4883</v>
      </c>
      <c r="E43" s="6">
        <v>1349</v>
      </c>
      <c r="F43" s="22">
        <f t="shared" si="1"/>
        <v>0.27626459143968873</v>
      </c>
      <c r="G43" s="6">
        <v>2482</v>
      </c>
      <c r="H43" s="6">
        <v>869</v>
      </c>
      <c r="J43" s="6">
        <v>112</v>
      </c>
      <c r="P43" s="36"/>
      <c r="Q43" s="37"/>
    </row>
    <row r="44" spans="1:17" x14ac:dyDescent="0.2">
      <c r="A44" s="6">
        <v>186808</v>
      </c>
      <c r="C44" t="s">
        <v>28</v>
      </c>
      <c r="D44" s="6">
        <f t="shared" si="0"/>
        <v>5002</v>
      </c>
      <c r="E44" s="6">
        <v>1349</v>
      </c>
      <c r="F44" s="22">
        <f t="shared" si="1"/>
        <v>0.2696921231507397</v>
      </c>
      <c r="G44" s="6"/>
      <c r="H44" s="6">
        <v>938</v>
      </c>
      <c r="M44" s="9"/>
      <c r="P44" s="36"/>
      <c r="Q44" s="37"/>
    </row>
    <row r="45" spans="1:17" x14ac:dyDescent="0.2">
      <c r="A45" s="6">
        <v>191365</v>
      </c>
      <c r="C45" t="s">
        <v>29</v>
      </c>
      <c r="D45" s="6">
        <f t="shared" si="0"/>
        <v>4557</v>
      </c>
      <c r="E45" s="6">
        <v>1349</v>
      </c>
      <c r="F45" s="22">
        <f t="shared" si="1"/>
        <v>0.29602808865481678</v>
      </c>
      <c r="G45" s="6"/>
      <c r="H45" s="6">
        <v>881</v>
      </c>
      <c r="J45" s="21">
        <v>64.349999999999994</v>
      </c>
      <c r="P45" s="36"/>
      <c r="Q45" s="37"/>
    </row>
    <row r="46" spans="1:17" x14ac:dyDescent="0.2">
      <c r="A46" s="6">
        <v>196753</v>
      </c>
      <c r="B46">
        <v>2023</v>
      </c>
      <c r="C46" t="s">
        <v>30</v>
      </c>
      <c r="D46" s="6">
        <f t="shared" si="0"/>
        <v>5388</v>
      </c>
      <c r="E46" s="6">
        <f>659+0.097*(637+390)</f>
        <v>758.61900000000003</v>
      </c>
      <c r="F46" s="22">
        <f t="shared" si="1"/>
        <v>0.14079788418708242</v>
      </c>
      <c r="G46" s="6">
        <v>1158.5</v>
      </c>
      <c r="H46" s="6">
        <v>1097</v>
      </c>
      <c r="P46" s="36"/>
      <c r="Q46" s="37"/>
    </row>
    <row r="47" spans="1:17" x14ac:dyDescent="0.2">
      <c r="A47" s="6">
        <v>200838</v>
      </c>
      <c r="C47" t="s">
        <v>31</v>
      </c>
      <c r="D47" s="6">
        <f t="shared" si="0"/>
        <v>4085</v>
      </c>
      <c r="E47" s="6">
        <f>659+812*0.128</f>
        <v>762.93600000000004</v>
      </c>
      <c r="F47" s="22">
        <f t="shared" si="1"/>
        <v>0.18676523867809058</v>
      </c>
      <c r="G47" s="6"/>
      <c r="H47" s="6">
        <v>831</v>
      </c>
      <c r="P47" s="36"/>
      <c r="Q47" s="37"/>
    </row>
    <row r="48" spans="1:17" x14ac:dyDescent="0.2">
      <c r="A48" s="6">
        <v>206846</v>
      </c>
      <c r="C48" t="s">
        <v>32</v>
      </c>
      <c r="D48" s="6">
        <f t="shared" si="0"/>
        <v>6008</v>
      </c>
      <c r="E48" s="6">
        <v>659</v>
      </c>
      <c r="F48" s="22">
        <f t="shared" si="1"/>
        <v>0.10968708388814913</v>
      </c>
      <c r="G48" s="6"/>
      <c r="H48" s="6">
        <v>1212</v>
      </c>
      <c r="M48" s="6"/>
      <c r="P48" s="36"/>
      <c r="Q48" s="37"/>
    </row>
    <row r="49" spans="1:17" x14ac:dyDescent="0.2">
      <c r="A49" s="6">
        <v>210744</v>
      </c>
      <c r="C49" t="s">
        <v>33</v>
      </c>
      <c r="D49" s="6">
        <f t="shared" si="0"/>
        <v>3898</v>
      </c>
      <c r="E49" s="6">
        <v>799</v>
      </c>
      <c r="F49" s="22">
        <f t="shared" si="1"/>
        <v>0.20497691123653156</v>
      </c>
      <c r="G49" s="6">
        <v>2232.5</v>
      </c>
      <c r="H49" s="6">
        <v>726</v>
      </c>
      <c r="P49" s="36"/>
      <c r="Q49" s="37"/>
    </row>
    <row r="50" spans="1:17" x14ac:dyDescent="0.2">
      <c r="A50" s="6">
        <v>217095</v>
      </c>
      <c r="C50" t="s">
        <v>34</v>
      </c>
      <c r="D50" s="6">
        <f t="shared" si="0"/>
        <v>6351</v>
      </c>
      <c r="E50" s="6">
        <v>799</v>
      </c>
      <c r="F50" s="22">
        <f t="shared" si="1"/>
        <v>0.12580695953393167</v>
      </c>
      <c r="G50" s="6"/>
      <c r="H50" s="6">
        <v>1124</v>
      </c>
      <c r="M50" s="9"/>
      <c r="P50" s="36"/>
      <c r="Q50" s="37"/>
    </row>
    <row r="51" spans="1:17" x14ac:dyDescent="0.2">
      <c r="A51" s="6">
        <v>222533</v>
      </c>
      <c r="C51" t="s">
        <v>35</v>
      </c>
      <c r="D51" s="6">
        <f t="shared" si="0"/>
        <v>5438</v>
      </c>
      <c r="E51" s="6">
        <v>799</v>
      </c>
      <c r="F51" s="22">
        <f t="shared" si="1"/>
        <v>0.14692901802133138</v>
      </c>
      <c r="G51" s="6"/>
      <c r="H51" s="6">
        <v>904</v>
      </c>
      <c r="P51" s="36"/>
      <c r="Q51" s="37"/>
    </row>
    <row r="52" spans="1:17" x14ac:dyDescent="0.2">
      <c r="A52" s="6">
        <f>227384-24.4</f>
        <v>227359.6</v>
      </c>
      <c r="C52" t="s">
        <v>36</v>
      </c>
      <c r="D52" s="6">
        <f t="shared" si="0"/>
        <v>4826.6000000000058</v>
      </c>
      <c r="E52" s="6">
        <v>799</v>
      </c>
      <c r="F52" s="22">
        <f t="shared" si="1"/>
        <v>0.1655409605105041</v>
      </c>
      <c r="G52" s="6">
        <v>1268</v>
      </c>
      <c r="H52" s="6"/>
      <c r="P52" s="36"/>
      <c r="Q52" s="37"/>
    </row>
    <row r="53" spans="1:17" x14ac:dyDescent="0.2">
      <c r="A53" s="6">
        <v>232754</v>
      </c>
      <c r="C53" t="s">
        <v>19</v>
      </c>
      <c r="D53" s="6">
        <f t="shared" si="0"/>
        <v>5394.3999999999942</v>
      </c>
      <c r="E53" s="6">
        <v>799</v>
      </c>
      <c r="F53" s="22">
        <f t="shared" si="1"/>
        <v>0.14811656532700596</v>
      </c>
      <c r="G53" s="6"/>
      <c r="H53" s="6"/>
      <c r="J53" s="38">
        <v>147</v>
      </c>
      <c r="P53" s="36"/>
      <c r="Q53" s="37"/>
    </row>
    <row r="54" spans="1:17" x14ac:dyDescent="0.2">
      <c r="A54" s="6">
        <v>238781</v>
      </c>
      <c r="C54" t="s">
        <v>25</v>
      </c>
      <c r="D54" s="6">
        <f t="shared" si="0"/>
        <v>6027</v>
      </c>
      <c r="E54" s="6">
        <v>799</v>
      </c>
      <c r="F54" s="22">
        <f t="shared" si="1"/>
        <v>0.13257010121121621</v>
      </c>
      <c r="G54" s="6"/>
      <c r="H54" s="6"/>
      <c r="P54" s="36"/>
      <c r="Q54" s="37"/>
    </row>
    <row r="55" spans="1:17" x14ac:dyDescent="0.2">
      <c r="A55" s="6">
        <v>244102</v>
      </c>
      <c r="C55" t="s">
        <v>27</v>
      </c>
      <c r="D55" s="6">
        <f t="shared" si="0"/>
        <v>5321</v>
      </c>
      <c r="E55" s="6">
        <v>799</v>
      </c>
      <c r="F55" s="22">
        <f t="shared" si="1"/>
        <v>0.15015974440894569</v>
      </c>
      <c r="G55" s="6">
        <v>2972</v>
      </c>
      <c r="H55" s="6"/>
      <c r="P55" s="36"/>
      <c r="Q55" s="37"/>
    </row>
    <row r="56" spans="1:17" x14ac:dyDescent="0.2">
      <c r="A56" s="6">
        <f>+A57-492</f>
        <v>249990</v>
      </c>
      <c r="C56" t="s">
        <v>28</v>
      </c>
      <c r="D56" s="6">
        <f t="shared" si="0"/>
        <v>5888</v>
      </c>
      <c r="E56" s="6">
        <v>799</v>
      </c>
      <c r="F56" s="22">
        <f t="shared" si="1"/>
        <v>0.13569972826086957</v>
      </c>
      <c r="G56" s="6"/>
      <c r="H56" s="6"/>
      <c r="P56" s="36"/>
      <c r="Q56" s="37"/>
    </row>
    <row r="57" spans="1:17" x14ac:dyDescent="0.2">
      <c r="A57" s="6">
        <v>250482</v>
      </c>
      <c r="C57" t="s">
        <v>29</v>
      </c>
      <c r="D57" s="6">
        <f t="shared" si="0"/>
        <v>492</v>
      </c>
      <c r="E57" s="6">
        <v>799</v>
      </c>
      <c r="F57" s="22">
        <f t="shared" si="1"/>
        <v>1.6239837398373984</v>
      </c>
      <c r="G57" s="42" t="s">
        <v>48</v>
      </c>
      <c r="H57" s="6"/>
      <c r="P57" s="36"/>
      <c r="Q57" s="37"/>
    </row>
    <row r="58" spans="1:17" x14ac:dyDescent="0.2">
      <c r="A58" s="6">
        <v>255897</v>
      </c>
      <c r="B58">
        <v>2024</v>
      </c>
      <c r="C58" t="s">
        <v>30</v>
      </c>
      <c r="D58" s="6">
        <f t="shared" si="0"/>
        <v>5415</v>
      </c>
      <c r="E58" s="6">
        <v>799</v>
      </c>
      <c r="F58" s="22">
        <f t="shared" si="1"/>
        <v>0.14755309325946445</v>
      </c>
      <c r="G58" s="6">
        <v>1231</v>
      </c>
      <c r="H58" s="6"/>
      <c r="P58" s="36"/>
      <c r="Q58" s="37"/>
    </row>
    <row r="59" spans="1:17" x14ac:dyDescent="0.2">
      <c r="A59" s="6">
        <v>261034</v>
      </c>
      <c r="C59" t="s">
        <v>31</v>
      </c>
      <c r="D59" s="6">
        <f t="shared" si="0"/>
        <v>5137</v>
      </c>
      <c r="E59" s="6">
        <v>799</v>
      </c>
      <c r="F59" s="22">
        <f t="shared" si="1"/>
        <v>0.15553825189799494</v>
      </c>
      <c r="G59" s="6"/>
      <c r="H59" s="6"/>
      <c r="P59" s="36"/>
      <c r="Q59" s="37"/>
    </row>
    <row r="60" spans="1:17" x14ac:dyDescent="0.2">
      <c r="A60" s="6">
        <v>266905</v>
      </c>
      <c r="C60" t="s">
        <v>32</v>
      </c>
      <c r="D60" s="6">
        <f t="shared" si="0"/>
        <v>5871</v>
      </c>
      <c r="E60" s="6">
        <v>799</v>
      </c>
      <c r="F60" s="22">
        <f t="shared" si="1"/>
        <v>0.13609265883154489</v>
      </c>
      <c r="G60" s="6"/>
      <c r="H60" s="6"/>
      <c r="J60" s="21">
        <f>98.48*7.45</f>
        <v>733.67600000000004</v>
      </c>
      <c r="P60" s="36"/>
      <c r="Q60" s="37"/>
    </row>
    <row r="61" spans="1:17" x14ac:dyDescent="0.2">
      <c r="A61" s="6">
        <v>271383</v>
      </c>
      <c r="C61" t="s">
        <v>33</v>
      </c>
      <c r="D61" s="6">
        <f t="shared" si="0"/>
        <v>4478</v>
      </c>
      <c r="E61" s="6">
        <v>799</v>
      </c>
      <c r="F61" s="22">
        <f t="shared" si="1"/>
        <v>0.178427869584636</v>
      </c>
      <c r="G61" s="6"/>
      <c r="H61" s="6"/>
      <c r="P61" s="36"/>
      <c r="Q61" s="37"/>
    </row>
    <row r="62" spans="1:17" x14ac:dyDescent="0.2">
      <c r="C62" t="s">
        <v>34</v>
      </c>
      <c r="D62" s="6">
        <v>0</v>
      </c>
      <c r="E62" s="6"/>
      <c r="F62" s="22">
        <f t="shared" si="1"/>
        <v>0</v>
      </c>
      <c r="G62" s="6"/>
      <c r="P62" s="36"/>
      <c r="Q62" s="37"/>
    </row>
    <row r="63" spans="1:17" x14ac:dyDescent="0.2">
      <c r="C63" t="s">
        <v>35</v>
      </c>
      <c r="D63" s="6">
        <v>0</v>
      </c>
      <c r="E63" s="6"/>
      <c r="F63" s="22">
        <f t="shared" si="1"/>
        <v>0</v>
      </c>
      <c r="G63" s="6"/>
      <c r="P63" s="36"/>
      <c r="Q63" s="37"/>
    </row>
    <row r="64" spans="1:17" x14ac:dyDescent="0.2">
      <c r="C64" t="s">
        <v>36</v>
      </c>
      <c r="D64" s="6">
        <v>0</v>
      </c>
      <c r="E64" s="6"/>
      <c r="F64" s="22">
        <f t="shared" si="1"/>
        <v>0</v>
      </c>
      <c r="G64" s="6"/>
      <c r="P64" s="36"/>
      <c r="Q64" s="37"/>
    </row>
    <row r="65" spans="2:17" x14ac:dyDescent="0.2">
      <c r="C65" t="s">
        <v>19</v>
      </c>
      <c r="D65" s="6">
        <v>0</v>
      </c>
      <c r="E65" s="6"/>
      <c r="F65" s="22">
        <f t="shared" si="1"/>
        <v>0</v>
      </c>
      <c r="G65" s="6"/>
      <c r="P65" s="36"/>
      <c r="Q65" s="37"/>
    </row>
    <row r="66" spans="2:17" x14ac:dyDescent="0.2">
      <c r="C66" t="s">
        <v>25</v>
      </c>
      <c r="D66" s="6">
        <v>0</v>
      </c>
      <c r="E66" s="6"/>
      <c r="F66" s="22">
        <f t="shared" si="1"/>
        <v>0</v>
      </c>
      <c r="G66" s="6"/>
      <c r="P66" s="36"/>
      <c r="Q66" s="37"/>
    </row>
    <row r="67" spans="2:17" x14ac:dyDescent="0.2">
      <c r="C67" t="s">
        <v>27</v>
      </c>
      <c r="D67" s="6">
        <v>0</v>
      </c>
      <c r="E67" s="6"/>
      <c r="F67" s="22">
        <f t="shared" si="1"/>
        <v>0</v>
      </c>
      <c r="G67" s="6"/>
      <c r="P67" s="36"/>
      <c r="Q67" s="37"/>
    </row>
    <row r="68" spans="2:17" x14ac:dyDescent="0.2">
      <c r="C68" t="s">
        <v>28</v>
      </c>
      <c r="D68" s="6">
        <v>0</v>
      </c>
      <c r="E68" s="6"/>
      <c r="F68" s="22">
        <f t="shared" si="1"/>
        <v>0</v>
      </c>
      <c r="G68" s="6"/>
      <c r="P68" s="36"/>
      <c r="Q68" s="37"/>
    </row>
    <row r="69" spans="2:17" x14ac:dyDescent="0.2">
      <c r="C69" t="s">
        <v>29</v>
      </c>
      <c r="D69" s="6">
        <v>0</v>
      </c>
      <c r="E69" s="6"/>
      <c r="F69" s="22">
        <f t="shared" si="1"/>
        <v>0</v>
      </c>
      <c r="G69" s="6"/>
      <c r="P69" s="36"/>
      <c r="Q69" s="37"/>
    </row>
    <row r="70" spans="2:17" x14ac:dyDescent="0.2">
      <c r="B70">
        <v>2025</v>
      </c>
      <c r="C70" t="s">
        <v>30</v>
      </c>
      <c r="P70" s="36"/>
      <c r="Q70" s="37"/>
    </row>
    <row r="71" spans="2:17" x14ac:dyDescent="0.2">
      <c r="C71" t="s">
        <v>31</v>
      </c>
      <c r="P71" s="36"/>
      <c r="Q71" s="37"/>
    </row>
    <row r="72" spans="2:17" x14ac:dyDescent="0.2">
      <c r="C72" t="s">
        <v>32</v>
      </c>
      <c r="P72" s="36"/>
      <c r="Q72" s="37"/>
    </row>
    <row r="73" spans="2:17" x14ac:dyDescent="0.2">
      <c r="C73" t="s">
        <v>33</v>
      </c>
      <c r="P73" s="36"/>
      <c r="Q73" s="37"/>
    </row>
    <row r="74" spans="2:17" x14ac:dyDescent="0.2">
      <c r="C74" t="s">
        <v>34</v>
      </c>
      <c r="P74" s="36"/>
      <c r="Q74" s="37"/>
    </row>
    <row r="75" spans="2:17" x14ac:dyDescent="0.2">
      <c r="C75" t="s">
        <v>35</v>
      </c>
      <c r="P75" s="36"/>
      <c r="Q75" s="37"/>
    </row>
    <row r="76" spans="2:17" x14ac:dyDescent="0.2">
      <c r="C76" t="s">
        <v>36</v>
      </c>
      <c r="P76" s="36"/>
      <c r="Q76" s="37"/>
    </row>
    <row r="77" spans="2:17" x14ac:dyDescent="0.2">
      <c r="C77" t="s">
        <v>19</v>
      </c>
      <c r="P77" s="36"/>
      <c r="Q77" s="37"/>
    </row>
    <row r="78" spans="2:17" x14ac:dyDescent="0.2">
      <c r="C78" t="s">
        <v>25</v>
      </c>
      <c r="P78" s="36"/>
      <c r="Q78" s="37"/>
    </row>
    <row r="79" spans="2:17" x14ac:dyDescent="0.2">
      <c r="C79" t="s">
        <v>27</v>
      </c>
      <c r="P79" s="36"/>
      <c r="Q79" s="37"/>
    </row>
    <row r="80" spans="2:17" x14ac:dyDescent="0.2">
      <c r="C80" t="s">
        <v>28</v>
      </c>
      <c r="P80" s="36"/>
      <c r="Q80" s="37"/>
    </row>
    <row r="81" spans="3:17" x14ac:dyDescent="0.2">
      <c r="C81" t="s">
        <v>29</v>
      </c>
      <c r="P81" s="36"/>
      <c r="Q81" s="37"/>
    </row>
  </sheetData>
  <mergeCells count="2">
    <mergeCell ref="L1:M1"/>
    <mergeCell ref="D1:H1"/>
  </mergeCells>
  <phoneticPr fontId="9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kona økonomi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dcterms:created xsi:type="dcterms:W3CDTF">2023-04-10T02:32:46Z</dcterms:created>
  <dcterms:modified xsi:type="dcterms:W3CDTF">2024-04-24T18:34:22Z</dcterms:modified>
</cp:coreProperties>
</file>